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3"/>
  <workbookPr filterPrivacy="1"/>
  <xr:revisionPtr revIDLastSave="0" documentId="8_{17F903CB-2F7E-4C6E-B5BD-EFB85A6BB6E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odel" sheetId="3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G12" i="3"/>
  <c r="G11" i="3"/>
  <c r="G10" i="3"/>
  <c r="G9" i="3"/>
  <c r="G8" i="3"/>
  <c r="G7" i="3"/>
  <c r="G6" i="3"/>
  <c r="G5" i="3"/>
  <c r="G4" i="3"/>
  <c r="G3" i="3"/>
  <c r="D4" i="3" l="1"/>
  <c r="D6" i="3"/>
  <c r="D7" i="3"/>
  <c r="D8" i="3"/>
  <c r="D9" i="3"/>
  <c r="D10" i="3"/>
  <c r="D11" i="3"/>
  <c r="D12" i="3"/>
  <c r="D13" i="3"/>
  <c r="D3" i="3"/>
  <c r="N14" i="3" l="1"/>
  <c r="G14" i="3"/>
  <c r="C26" i="3" s="1"/>
  <c r="F13" i="3"/>
  <c r="F12" i="3"/>
  <c r="F11" i="3"/>
  <c r="F10" i="3"/>
  <c r="F9" i="3"/>
  <c r="F8" i="3"/>
  <c r="F7" i="3"/>
  <c r="F6" i="3"/>
  <c r="C5" i="3"/>
  <c r="D5" i="3" s="1"/>
  <c r="F4" i="3"/>
  <c r="F3" i="3"/>
  <c r="R7" i="3" l="1"/>
  <c r="R6" i="3"/>
  <c r="R5" i="3"/>
  <c r="C28" i="3"/>
  <c r="C27" i="3"/>
  <c r="H4" i="3"/>
  <c r="H8" i="3"/>
  <c r="H12" i="3"/>
  <c r="I12" i="3"/>
  <c r="H9" i="3"/>
  <c r="H13" i="3"/>
  <c r="I13" i="3"/>
  <c r="H5" i="3"/>
  <c r="H6" i="3"/>
  <c r="H10" i="3"/>
  <c r="I10" i="3"/>
  <c r="H3" i="3"/>
  <c r="H11" i="3"/>
  <c r="I11" i="3"/>
  <c r="H7" i="3"/>
  <c r="C14" i="3"/>
  <c r="F5" i="3"/>
  <c r="I7" i="3" s="1"/>
  <c r="J12" i="3" l="1"/>
  <c r="K12" i="3" s="1"/>
  <c r="I6" i="3"/>
  <c r="J6" i="3" s="1"/>
  <c r="I5" i="3"/>
  <c r="J5" i="3" s="1"/>
  <c r="I9" i="3"/>
  <c r="J9" i="3" s="1"/>
  <c r="I8" i="3"/>
  <c r="J8" i="3" s="1"/>
  <c r="I3" i="3"/>
  <c r="J3" i="3" s="1"/>
  <c r="J13" i="3"/>
  <c r="K13" i="3" s="1"/>
  <c r="I4" i="3"/>
  <c r="J4" i="3" s="1"/>
  <c r="R8" i="3"/>
  <c r="L12" i="3"/>
  <c r="O12" i="3" s="1"/>
  <c r="J10" i="3"/>
  <c r="J11" i="3"/>
  <c r="H14" i="3"/>
  <c r="J7" i="3"/>
  <c r="L13" i="3" l="1"/>
  <c r="O13" i="3" s="1"/>
  <c r="L4" i="3"/>
  <c r="O4" i="3" s="1"/>
  <c r="K4" i="3"/>
  <c r="L7" i="3"/>
  <c r="O7" i="3" s="1"/>
  <c r="K7" i="3"/>
  <c r="L11" i="3"/>
  <c r="O11" i="3" s="1"/>
  <c r="K11" i="3"/>
  <c r="K6" i="3"/>
  <c r="L6" i="3"/>
  <c r="O6" i="3" s="1"/>
  <c r="L10" i="3"/>
  <c r="O10" i="3" s="1"/>
  <c r="K10" i="3"/>
  <c r="L8" i="3"/>
  <c r="O8" i="3" s="1"/>
  <c r="K8" i="3"/>
  <c r="L9" i="3"/>
  <c r="O9" i="3" s="1"/>
  <c r="K9" i="3"/>
  <c r="K5" i="3"/>
  <c r="L5" i="3"/>
  <c r="O5" i="3" s="1"/>
  <c r="I14" i="3"/>
  <c r="L3" i="3"/>
  <c r="K3" i="3"/>
  <c r="J14" i="3"/>
  <c r="K14" i="3" l="1"/>
  <c r="O3" i="3"/>
  <c r="O14" i="3" s="1"/>
  <c r="L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5" authorId="0" shapeId="0" xr:uid="{4C9AC38D-87BA-4AE3-A1E2-61235D777A91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Less 96 (ASN Wing)</t>
        </r>
      </text>
    </comment>
  </commentList>
</comments>
</file>

<file path=xl/sharedStrings.xml><?xml version="1.0" encoding="utf-8"?>
<sst xmlns="http://schemas.openxmlformats.org/spreadsheetml/2006/main" count="68" uniqueCount="63">
  <si>
    <t>Deprivation</t>
  </si>
  <si>
    <t>Fixed Allocation</t>
  </si>
  <si>
    <t>Variable Allocation</t>
  </si>
  <si>
    <t>Totals</t>
  </si>
  <si>
    <t>Comparison</t>
  </si>
  <si>
    <t>Cost Centre</t>
  </si>
  <si>
    <t>School</t>
  </si>
  <si>
    <t>Pupil Roll</t>
  </si>
  <si>
    <t>Banding</t>
  </si>
  <si>
    <t>SIMD Deprivation % in 2 lowest deciles</t>
  </si>
  <si>
    <t>Roll numbers in 2 SIMD lowest deciles</t>
  </si>
  <si>
    <t>Core Allocation</t>
  </si>
  <si>
    <t>Pupil Roll
(90%)</t>
  </si>
  <si>
    <t>Deprivation
(10%)</t>
  </si>
  <si>
    <t>PSA
FTE
(27.5 Hours &amp; 45 Weeks)</t>
  </si>
  <si>
    <t>Total 
Hours</t>
  </si>
  <si>
    <t>Corporate FTE
(37 Hours)</t>
  </si>
  <si>
    <t>18/19
FTE</t>
  </si>
  <si>
    <t>Difference</t>
  </si>
  <si>
    <t>E40253</t>
  </si>
  <si>
    <t>Aberdeen Grammar</t>
  </si>
  <si>
    <t>E40310</t>
  </si>
  <si>
    <t>Bridge of Don</t>
  </si>
  <si>
    <t>Entitlement</t>
  </si>
  <si>
    <t>No of Schools</t>
  </si>
  <si>
    <t>E40317</t>
  </si>
  <si>
    <t>Bucksburn</t>
  </si>
  <si>
    <t>0 - 800</t>
  </si>
  <si>
    <t>E40370</t>
  </si>
  <si>
    <t>Cults</t>
  </si>
  <si>
    <t>801 - 1000</t>
  </si>
  <si>
    <t>E40406</t>
  </si>
  <si>
    <t>Dyce</t>
  </si>
  <si>
    <t>1001 +</t>
  </si>
  <si>
    <t>E40451</t>
  </si>
  <si>
    <t xml:space="preserve">Harlaw </t>
  </si>
  <si>
    <t>Total</t>
  </si>
  <si>
    <t>E40457</t>
  </si>
  <si>
    <t xml:space="preserve">Hazlehead </t>
  </si>
  <si>
    <t>E40560</t>
  </si>
  <si>
    <t>Lochside</t>
  </si>
  <si>
    <t>E40597</t>
  </si>
  <si>
    <t xml:space="preserve">Northfield </t>
  </si>
  <si>
    <t>E40606</t>
  </si>
  <si>
    <t xml:space="preserve">Oldmachar </t>
  </si>
  <si>
    <t>E40702</t>
  </si>
  <si>
    <t xml:space="preserve">St Machar </t>
  </si>
  <si>
    <t>Allocation</t>
  </si>
  <si>
    <t>x 27.5 Hours &amp; 45 weeks</t>
  </si>
  <si>
    <t>Notes</t>
  </si>
  <si>
    <t>Allocation of set PSA FTE - Currently 75.00 FTE @ 27.5 Hours &amp; 45 Weeks</t>
  </si>
  <si>
    <t>Core Allocations per school - according to table (0 - 800 = 3 FTE, 801 - 1000 = 3.5 FTE, 1001+ = 4 FTE)</t>
  </si>
  <si>
    <t>Remaining FTE allocated 90% Pupil Roll &amp; 10% Deprivation</t>
  </si>
  <si>
    <t>Excludes Pupil Numbers for ASN Wing at Bucksburn</t>
  </si>
  <si>
    <t>Example</t>
  </si>
  <si>
    <t>Calculation</t>
  </si>
  <si>
    <t>PSA FTE</t>
  </si>
  <si>
    <t>Fixed</t>
  </si>
  <si>
    <t>Per School (11 x 3.00)</t>
  </si>
  <si>
    <t>Variable – Pupil Roll (90%)</t>
  </si>
  <si>
    <t>(75.00 – 33.00) * 90%</t>
  </si>
  <si>
    <t>Variable – Deprivation (10%)</t>
  </si>
  <si>
    <t>(75.00 – 33.00) * 10%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</si>
</sst>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1" xfId="0" applyFont="1" applyBorder="1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2" fontId="1" fillId="0" borderId="1" xfId="0" applyNumberFormat="1" applyFont="1" applyBorder="1"/>
    <xf numFmtId="2" fontId="2" fillId="0" borderId="1" xfId="0" applyNumberFormat="1" applyFont="1" applyBorder="1"/>
    <xf numFmtId="2" fontId="1" fillId="0" borderId="3" xfId="0" applyNumberFormat="1" applyFont="1" applyFill="1" applyBorder="1"/>
    <xf numFmtId="3" fontId="1" fillId="0" borderId="1" xfId="0" applyNumberFormat="1" applyFont="1" applyBorder="1"/>
    <xf numFmtId="3" fontId="2" fillId="0" borderId="1" xfId="0" applyNumberFormat="1" applyFont="1" applyBorder="1"/>
    <xf numFmtId="0" fontId="1" fillId="0" borderId="0" xfId="0" applyFont="1" applyFill="1" applyBorder="1"/>
    <xf numFmtId="0" fontId="3" fillId="0" borderId="0" xfId="0" applyFont="1" applyFill="1" applyBorder="1"/>
    <xf numFmtId="0" fontId="2" fillId="0" borderId="0" xfId="0" applyFont="1"/>
    <xf numFmtId="2" fontId="2" fillId="2" borderId="1" xfId="0" applyNumberFormat="1" applyFont="1" applyFill="1" applyBorder="1"/>
    <xf numFmtId="0" fontId="2" fillId="0" borderId="1" xfId="0" applyFont="1" applyFill="1" applyBorder="1"/>
    <xf numFmtId="10" fontId="1" fillId="0" borderId="1" xfId="1" applyNumberFormat="1" applyFont="1" applyBorder="1"/>
    <xf numFmtId="4" fontId="2" fillId="0" borderId="1" xfId="0" applyNumberFormat="1" applyFont="1" applyBorder="1"/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0" fontId="0" fillId="0" borderId="7" xfId="0" applyBorder="1" applyAlignment="1">
      <alignment horizontal="center"/>
    </xf>
    <xf numFmtId="49" fontId="1" fillId="0" borderId="1" xfId="0" quotePrefix="1" applyNumberFormat="1" applyFont="1" applyBorder="1" applyAlignment="1">
      <alignment horizontal="left"/>
    </xf>
    <xf numFmtId="0" fontId="1" fillId="0" borderId="1" xfId="0" quotePrefix="1" applyFont="1" applyBorder="1"/>
    <xf numFmtId="49" fontId="1" fillId="0" borderId="1" xfId="0" quotePrefix="1" applyNumberFormat="1" applyFont="1" applyBorder="1"/>
    <xf numFmtId="0" fontId="2" fillId="0" borderId="0" xfId="0" applyFont="1" applyBorder="1"/>
    <xf numFmtId="2" fontId="1" fillId="0" borderId="0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3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9F1A09-18EE-4489-820F-53BC6C6167EA}">
  <dimension ref="A1:R29"/>
  <sheetViews>
    <sheetView tabSelected="1" view="pageLayout" zoomScaleNormal="100" workbookViewId="0">
      <selection sqref="A1:C1"/>
    </sheetView>
  </sheetViews>
  <sheetFormatPr defaultRowHeight="15"/>
  <cols>
    <col min="1" max="1" width="10.140625" customWidth="1"/>
    <col min="2" max="2" width="16.28515625" bestFit="1" customWidth="1"/>
    <col min="5" max="9" width="10" customWidth="1"/>
    <col min="10" max="12" width="10.7109375" customWidth="1"/>
    <col min="14" max="15" width="0" hidden="1" customWidth="1"/>
    <col min="16" max="18" width="10.7109375" customWidth="1"/>
  </cols>
  <sheetData>
    <row r="1" spans="1:18" ht="25.5">
      <c r="A1" s="40"/>
      <c r="B1" s="40"/>
      <c r="C1" s="41"/>
      <c r="D1" s="27"/>
      <c r="E1" s="42" t="s">
        <v>0</v>
      </c>
      <c r="F1" s="42"/>
      <c r="G1" s="19" t="s">
        <v>1</v>
      </c>
      <c r="H1" s="42" t="s">
        <v>2</v>
      </c>
      <c r="I1" s="42"/>
      <c r="J1" s="43" t="s">
        <v>3</v>
      </c>
      <c r="K1" s="44"/>
      <c r="L1" s="45"/>
      <c r="M1" s="20"/>
      <c r="N1" s="42" t="s">
        <v>4</v>
      </c>
      <c r="O1" s="42"/>
    </row>
    <row r="2" spans="1:18" ht="63.75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N2" s="5" t="s">
        <v>17</v>
      </c>
      <c r="O2" s="5" t="s">
        <v>18</v>
      </c>
    </row>
    <row r="3" spans="1:18">
      <c r="A3" s="2" t="s">
        <v>19</v>
      </c>
      <c r="B3" s="2" t="s">
        <v>20</v>
      </c>
      <c r="C3" s="10">
        <v>1108</v>
      </c>
      <c r="D3" s="34" t="str">
        <f>IF(C3&lt;=800,"0 - 800",IF(C3&lt;=1000,"801 - 1000",IF(C3&gt;=1001,"1001 +")))</f>
        <v>1001 +</v>
      </c>
      <c r="E3" s="17">
        <v>3.15E-2</v>
      </c>
      <c r="F3" s="7">
        <f>C3*E3</f>
        <v>34.902000000000001</v>
      </c>
      <c r="G3" s="6">
        <f>IF(D3=$P$5,$Q$5,IF(D3=$P$6,$Q$6,IF(D3=$P$7,$Q$7,FALSE)))</f>
        <v>4</v>
      </c>
      <c r="H3" s="9">
        <f>(($I$16-$G$14)*0.9)*(C3/SUM($C$3:$C$13))</f>
        <v>4.0642321486794915</v>
      </c>
      <c r="I3" s="9">
        <f>(($I$16-$G$14)*0.1)*(F3/SUM($F$3:$F$13))</f>
        <v>0.14229732070178813</v>
      </c>
      <c r="J3" s="36">
        <f>(SUM(G3:I3))</f>
        <v>8.2065294693812785</v>
      </c>
      <c r="K3" s="9">
        <f>J3*27.5</f>
        <v>225.67956040798515</v>
      </c>
      <c r="L3" s="9">
        <f>J3*(45/52)*(27.5/37)</f>
        <v>5.2783680968603592</v>
      </c>
      <c r="N3" s="9">
        <v>1.97</v>
      </c>
      <c r="O3" s="9">
        <f>L3-N3</f>
        <v>3.3083680968603595</v>
      </c>
      <c r="P3" s="37" t="s">
        <v>1</v>
      </c>
      <c r="Q3" s="38"/>
      <c r="R3" s="39"/>
    </row>
    <row r="4" spans="1:18">
      <c r="A4" s="2" t="s">
        <v>21</v>
      </c>
      <c r="B4" s="2" t="s">
        <v>22</v>
      </c>
      <c r="C4" s="10">
        <v>627</v>
      </c>
      <c r="D4" s="34" t="str">
        <f t="shared" ref="D4:D13" si="0">IF(C4&lt;=800,"0 - 800",IF(C4&lt;=1000,"801 - 1000",IF(C4&gt;=1001,"1001 +")))</f>
        <v>0 - 800</v>
      </c>
      <c r="E4" s="17">
        <v>4.6199999999999998E-2</v>
      </c>
      <c r="F4" s="7">
        <f t="shared" ref="F4:F13" si="1">C4*E4</f>
        <v>28.967399999999998</v>
      </c>
      <c r="G4" s="6">
        <f t="shared" ref="G4:G13" si="2">IF(D4=$P$5,$Q$5,IF(D4=$P$6,$Q$6,IF(D4=$P$7,$Q$7,FALSE)))</f>
        <v>3</v>
      </c>
      <c r="H4" s="9">
        <f t="shared" ref="H4:H13" si="3">(($I$16-$G$14)*0.9)*(C4/SUM($C$3:$C$13))</f>
        <v>2.2998858819693515</v>
      </c>
      <c r="I4" s="9">
        <f t="shared" ref="I4:I13" si="4">(($I$16-$G$14)*0.1)*(F4/SUM($F$3:$F$13))</f>
        <v>0.11810163909509418</v>
      </c>
      <c r="J4" s="36">
        <f t="shared" ref="J4:J13" si="5">(SUM(G4:I4))</f>
        <v>5.4179875210644459</v>
      </c>
      <c r="K4" s="9">
        <f t="shared" ref="K4:K13" si="6">J4*27.5</f>
        <v>148.99465682927226</v>
      </c>
      <c r="L4" s="9">
        <f t="shared" ref="L4:L13" si="7">J4*(45/52)*(27.5/37)</f>
        <v>3.4848022647179064</v>
      </c>
      <c r="N4" s="9">
        <v>5.43</v>
      </c>
      <c r="O4" s="9">
        <f t="shared" ref="O4:O13" si="8">L4-N4</f>
        <v>-1.9451977352820933</v>
      </c>
      <c r="P4" s="3" t="s">
        <v>7</v>
      </c>
      <c r="Q4" s="3" t="s">
        <v>23</v>
      </c>
      <c r="R4" s="3" t="s">
        <v>24</v>
      </c>
    </row>
    <row r="5" spans="1:18">
      <c r="A5" s="2" t="s">
        <v>25</v>
      </c>
      <c r="B5" s="2" t="s">
        <v>26</v>
      </c>
      <c r="C5" s="10">
        <f>718-96</f>
        <v>622</v>
      </c>
      <c r="D5" s="34" t="str">
        <f t="shared" si="0"/>
        <v>0 - 800</v>
      </c>
      <c r="E5" s="17">
        <v>3.3300000000000003E-2</v>
      </c>
      <c r="F5" s="7">
        <f t="shared" si="1"/>
        <v>20.712600000000002</v>
      </c>
      <c r="G5" s="6">
        <f t="shared" si="2"/>
        <v>3</v>
      </c>
      <c r="H5" s="9">
        <f t="shared" si="3"/>
        <v>2.2815454841865015</v>
      </c>
      <c r="I5" s="9">
        <f t="shared" si="4"/>
        <v>8.4446377994609384E-2</v>
      </c>
      <c r="J5" s="36">
        <f t="shared" si="5"/>
        <v>5.3659918621811116</v>
      </c>
      <c r="K5" s="9">
        <f t="shared" si="6"/>
        <v>147.56477620998058</v>
      </c>
      <c r="L5" s="9">
        <f t="shared" si="7"/>
        <v>3.4513591109402939</v>
      </c>
      <c r="N5" s="9">
        <v>4.2699999999999996</v>
      </c>
      <c r="O5" s="9">
        <f t="shared" si="8"/>
        <v>-0.81864088905970567</v>
      </c>
      <c r="P5" s="28" t="s">
        <v>27</v>
      </c>
      <c r="Q5" s="7">
        <v>3</v>
      </c>
      <c r="R5" s="29">
        <f>COUNTIF($D$3:$D$52,P5)</f>
        <v>5</v>
      </c>
    </row>
    <row r="6" spans="1:18">
      <c r="A6" s="2" t="s">
        <v>28</v>
      </c>
      <c r="B6" s="2" t="s">
        <v>29</v>
      </c>
      <c r="C6" s="10">
        <v>1049</v>
      </c>
      <c r="D6" s="34" t="str">
        <f t="shared" si="0"/>
        <v>1001 +</v>
      </c>
      <c r="E6" s="17">
        <v>1E-3</v>
      </c>
      <c r="F6" s="7">
        <f t="shared" si="1"/>
        <v>1.0489999999999999</v>
      </c>
      <c r="G6" s="6">
        <f t="shared" si="2"/>
        <v>4</v>
      </c>
      <c r="H6" s="9">
        <f t="shared" si="3"/>
        <v>3.8478154548418653</v>
      </c>
      <c r="I6" s="9">
        <f t="shared" si="4"/>
        <v>4.2768291048127828E-3</v>
      </c>
      <c r="J6" s="36">
        <f t="shared" si="5"/>
        <v>7.8520922839466785</v>
      </c>
      <c r="K6" s="9">
        <f t="shared" si="6"/>
        <v>215.93253780853365</v>
      </c>
      <c r="L6" s="9">
        <f t="shared" si="7"/>
        <v>5.0503971940665355</v>
      </c>
      <c r="N6" s="9">
        <v>1.61</v>
      </c>
      <c r="O6" s="9">
        <f t="shared" si="8"/>
        <v>3.4403971940665352</v>
      </c>
      <c r="P6" s="30" t="s">
        <v>30</v>
      </c>
      <c r="Q6" s="7">
        <v>3.5</v>
      </c>
      <c r="R6" s="29">
        <f t="shared" ref="R6:R7" si="9">COUNTIF($D$3:$D$52,P6)</f>
        <v>3</v>
      </c>
    </row>
    <row r="7" spans="1:18">
      <c r="A7" s="2" t="s">
        <v>31</v>
      </c>
      <c r="B7" s="2" t="s">
        <v>32</v>
      </c>
      <c r="C7" s="10">
        <v>545</v>
      </c>
      <c r="D7" s="34" t="str">
        <f t="shared" si="0"/>
        <v>0 - 800</v>
      </c>
      <c r="E7" s="17">
        <v>1.2E-2</v>
      </c>
      <c r="F7" s="7">
        <f t="shared" si="1"/>
        <v>6.54</v>
      </c>
      <c r="G7" s="6">
        <f t="shared" si="2"/>
        <v>3</v>
      </c>
      <c r="H7" s="9">
        <f t="shared" si="3"/>
        <v>1.9991033583306161</v>
      </c>
      <c r="I7" s="9">
        <f t="shared" si="4"/>
        <v>2.6663929785963391E-2</v>
      </c>
      <c r="J7" s="36">
        <f t="shared" si="5"/>
        <v>5.0257672881165796</v>
      </c>
      <c r="K7" s="9">
        <f t="shared" si="6"/>
        <v>138.20860042320595</v>
      </c>
      <c r="L7" s="9">
        <f t="shared" si="7"/>
        <v>3.2325296356778934</v>
      </c>
      <c r="N7" s="9">
        <v>3.94</v>
      </c>
      <c r="O7" s="9">
        <f t="shared" si="8"/>
        <v>-0.70747036432210653</v>
      </c>
      <c r="P7" s="30" t="s">
        <v>33</v>
      </c>
      <c r="Q7" s="7">
        <v>4</v>
      </c>
      <c r="R7" s="29">
        <f t="shared" si="9"/>
        <v>3</v>
      </c>
    </row>
    <row r="8" spans="1:18">
      <c r="A8" s="2" t="s">
        <v>34</v>
      </c>
      <c r="B8" s="2" t="s">
        <v>35</v>
      </c>
      <c r="C8" s="10">
        <v>897</v>
      </c>
      <c r="D8" s="34" t="str">
        <f t="shared" si="0"/>
        <v>801 - 1000</v>
      </c>
      <c r="E8" s="17">
        <v>7.7399999999999997E-2</v>
      </c>
      <c r="F8" s="7">
        <f t="shared" si="1"/>
        <v>69.427799999999991</v>
      </c>
      <c r="G8" s="6">
        <f t="shared" si="2"/>
        <v>3.5</v>
      </c>
      <c r="H8" s="9">
        <f t="shared" si="3"/>
        <v>3.2902673622432346</v>
      </c>
      <c r="I8" s="9">
        <f t="shared" si="4"/>
        <v>0.28306085388286067</v>
      </c>
      <c r="J8" s="36">
        <f t="shared" si="5"/>
        <v>7.0733282161260949</v>
      </c>
      <c r="K8" s="9">
        <f t="shared" si="6"/>
        <v>194.5165259434676</v>
      </c>
      <c r="L8" s="9">
        <f t="shared" si="7"/>
        <v>4.5495029456632237</v>
      </c>
      <c r="N8" s="9">
        <v>4.5999999999999996</v>
      </c>
      <c r="O8" s="9">
        <f t="shared" si="8"/>
        <v>-5.0497054336775982E-2</v>
      </c>
      <c r="P8" s="30" t="s">
        <v>36</v>
      </c>
      <c r="Q8" s="7"/>
      <c r="R8" s="29">
        <f>SUM(R5:R7)</f>
        <v>11</v>
      </c>
    </row>
    <row r="9" spans="1:18">
      <c r="A9" s="2" t="s">
        <v>37</v>
      </c>
      <c r="B9" s="2" t="s">
        <v>38</v>
      </c>
      <c r="C9" s="10">
        <v>885</v>
      </c>
      <c r="D9" s="34" t="str">
        <f t="shared" si="0"/>
        <v>801 - 1000</v>
      </c>
      <c r="E9" s="17">
        <v>9.1700000000000004E-2</v>
      </c>
      <c r="F9" s="7">
        <f t="shared" si="1"/>
        <v>81.154499999999999</v>
      </c>
      <c r="G9" s="6">
        <f t="shared" si="2"/>
        <v>3.5</v>
      </c>
      <c r="H9" s="9">
        <f t="shared" si="3"/>
        <v>3.2462504075643954</v>
      </c>
      <c r="I9" s="9">
        <f t="shared" si="4"/>
        <v>0.33087123697476545</v>
      </c>
      <c r="J9" s="36">
        <f t="shared" si="5"/>
        <v>7.0771216445391607</v>
      </c>
      <c r="K9" s="9">
        <f t="shared" si="6"/>
        <v>194.62084522482692</v>
      </c>
      <c r="L9" s="9">
        <f t="shared" si="7"/>
        <v>4.5519428456950166</v>
      </c>
      <c r="N9" s="9">
        <v>5.77</v>
      </c>
      <c r="O9" s="9">
        <f t="shared" si="8"/>
        <v>-1.218057154304983</v>
      </c>
    </row>
    <row r="10" spans="1:18">
      <c r="A10" s="2" t="s">
        <v>39</v>
      </c>
      <c r="B10" s="2" t="s">
        <v>40</v>
      </c>
      <c r="C10" s="10">
        <v>1051</v>
      </c>
      <c r="D10" s="34" t="str">
        <f t="shared" si="0"/>
        <v>1001 +</v>
      </c>
      <c r="E10" s="17">
        <v>0.20849999999999999</v>
      </c>
      <c r="F10" s="7">
        <f t="shared" si="1"/>
        <v>219.1335</v>
      </c>
      <c r="G10" s="6">
        <f t="shared" si="2"/>
        <v>4</v>
      </c>
      <c r="H10" s="9">
        <f t="shared" si="3"/>
        <v>3.8551516139550048</v>
      </c>
      <c r="I10" s="9">
        <f t="shared" si="4"/>
        <v>0.89341899965633154</v>
      </c>
      <c r="J10" s="36">
        <f t="shared" si="5"/>
        <v>8.7485706136113368</v>
      </c>
      <c r="K10" s="9">
        <f t="shared" si="6"/>
        <v>240.58569187431175</v>
      </c>
      <c r="L10" s="9">
        <f t="shared" si="7"/>
        <v>5.6270042278295369</v>
      </c>
      <c r="N10" s="9">
        <v>7.09</v>
      </c>
      <c r="O10" s="9">
        <f t="shared" si="8"/>
        <v>-1.4629957721704629</v>
      </c>
    </row>
    <row r="11" spans="1:18">
      <c r="A11" s="2" t="s">
        <v>41</v>
      </c>
      <c r="B11" s="2" t="s">
        <v>42</v>
      </c>
      <c r="C11" s="10">
        <v>755</v>
      </c>
      <c r="D11" s="34" t="str">
        <f t="shared" si="0"/>
        <v>0 - 800</v>
      </c>
      <c r="E11" s="17">
        <v>0.28289999999999998</v>
      </c>
      <c r="F11" s="7">
        <f t="shared" si="1"/>
        <v>213.58949999999999</v>
      </c>
      <c r="G11" s="6">
        <f t="shared" si="2"/>
        <v>3</v>
      </c>
      <c r="H11" s="9">
        <f t="shared" si="3"/>
        <v>2.769400065210303</v>
      </c>
      <c r="I11" s="9">
        <f t="shared" si="4"/>
        <v>0.87081581514052409</v>
      </c>
      <c r="J11" s="36">
        <f t="shared" si="5"/>
        <v>6.6402158803508273</v>
      </c>
      <c r="K11" s="9">
        <f t="shared" si="6"/>
        <v>182.60593670964775</v>
      </c>
      <c r="L11" s="9">
        <f t="shared" si="7"/>
        <v>4.270928873146647</v>
      </c>
      <c r="N11" s="9">
        <v>4.6100000000000003</v>
      </c>
      <c r="O11" s="9">
        <f t="shared" si="8"/>
        <v>-0.33907112685335328</v>
      </c>
    </row>
    <row r="12" spans="1:18">
      <c r="A12" s="2" t="s">
        <v>43</v>
      </c>
      <c r="B12" s="2" t="s">
        <v>44</v>
      </c>
      <c r="C12" s="10">
        <v>753</v>
      </c>
      <c r="D12" s="34" t="str">
        <f t="shared" si="0"/>
        <v>0 - 800</v>
      </c>
      <c r="E12" s="17">
        <v>1.4200000000000001E-2</v>
      </c>
      <c r="F12" s="7">
        <f t="shared" si="1"/>
        <v>10.692600000000001</v>
      </c>
      <c r="G12" s="6">
        <f t="shared" si="2"/>
        <v>3</v>
      </c>
      <c r="H12" s="9">
        <f t="shared" si="3"/>
        <v>2.7620639060971635</v>
      </c>
      <c r="I12" s="9">
        <f t="shared" si="4"/>
        <v>4.3594302084004916E-2</v>
      </c>
      <c r="J12" s="36">
        <f t="shared" si="5"/>
        <v>5.8056582081811676</v>
      </c>
      <c r="K12" s="9">
        <f t="shared" si="6"/>
        <v>159.65560072498212</v>
      </c>
      <c r="L12" s="9">
        <f t="shared" si="7"/>
        <v>3.7341486656050904</v>
      </c>
      <c r="N12" s="9">
        <v>2.91</v>
      </c>
      <c r="O12" s="9">
        <f t="shared" si="8"/>
        <v>0.82414866560509026</v>
      </c>
    </row>
    <row r="13" spans="1:18">
      <c r="A13" s="2" t="s">
        <v>45</v>
      </c>
      <c r="B13" s="2" t="s">
        <v>46</v>
      </c>
      <c r="C13" s="10">
        <v>909</v>
      </c>
      <c r="D13" s="34" t="str">
        <f t="shared" si="0"/>
        <v>801 - 1000</v>
      </c>
      <c r="E13" s="17">
        <v>0.25700000000000001</v>
      </c>
      <c r="F13" s="7">
        <f t="shared" si="1"/>
        <v>233.613</v>
      </c>
      <c r="G13" s="6">
        <f t="shared" si="2"/>
        <v>3.5</v>
      </c>
      <c r="H13" s="9">
        <f t="shared" si="3"/>
        <v>3.3342843169220737</v>
      </c>
      <c r="I13" s="9">
        <f t="shared" si="4"/>
        <v>0.9524526955792455</v>
      </c>
      <c r="J13" s="36">
        <f t="shared" si="5"/>
        <v>7.7867370125013196</v>
      </c>
      <c r="K13" s="9">
        <f t="shared" si="6"/>
        <v>214.13526784378629</v>
      </c>
      <c r="L13" s="9">
        <f t="shared" si="7"/>
        <v>5.0083612541426108</v>
      </c>
      <c r="N13" s="9">
        <v>6.2</v>
      </c>
      <c r="O13" s="9">
        <f t="shared" si="8"/>
        <v>-1.1916387458573894</v>
      </c>
    </row>
    <row r="14" spans="1:18">
      <c r="A14" s="2"/>
      <c r="B14" s="3" t="s">
        <v>36</v>
      </c>
      <c r="C14" s="11">
        <f>SUM(C3:C13)</f>
        <v>9201</v>
      </c>
      <c r="D14" s="11"/>
      <c r="E14" s="3"/>
      <c r="F14" s="3"/>
      <c r="G14" s="15">
        <f>SUM(G3:G13)</f>
        <v>37.5</v>
      </c>
      <c r="H14" s="15">
        <f t="shared" ref="H14:O14" si="10">SUM(H3:H13)</f>
        <v>33.750000000000007</v>
      </c>
      <c r="I14" s="15">
        <f t="shared" si="10"/>
        <v>3.75</v>
      </c>
      <c r="J14" s="35">
        <f t="shared" si="10"/>
        <v>75</v>
      </c>
      <c r="K14" s="18">
        <f t="shared" si="10"/>
        <v>2062.5</v>
      </c>
      <c r="L14" s="8">
        <f t="shared" si="10"/>
        <v>48.239345114345113</v>
      </c>
      <c r="N14" s="8">
        <f t="shared" si="10"/>
        <v>48.400000000000006</v>
      </c>
      <c r="O14" s="8">
        <f t="shared" si="10"/>
        <v>-0.16065488565488506</v>
      </c>
    </row>
    <row r="16" spans="1:18">
      <c r="H16" s="14" t="s">
        <v>47</v>
      </c>
      <c r="I16" s="15">
        <v>75</v>
      </c>
      <c r="J16" s="4" t="s">
        <v>48</v>
      </c>
    </row>
    <row r="18" spans="1:4">
      <c r="A18" s="13" t="s">
        <v>49</v>
      </c>
    </row>
    <row r="19" spans="1:4">
      <c r="A19" s="12" t="s">
        <v>50</v>
      </c>
    </row>
    <row r="20" spans="1:4">
      <c r="A20" s="12" t="s">
        <v>51</v>
      </c>
    </row>
    <row r="21" spans="1:4">
      <c r="A21" s="12" t="s">
        <v>52</v>
      </c>
    </row>
    <row r="22" spans="1:4">
      <c r="A22" s="12" t="s">
        <v>53</v>
      </c>
    </row>
    <row r="23" spans="1:4">
      <c r="A23" s="12"/>
    </row>
    <row r="24" spans="1:4">
      <c r="A24" s="13" t="s">
        <v>54</v>
      </c>
    </row>
    <row r="25" spans="1:4">
      <c r="A25" s="16" t="s">
        <v>47</v>
      </c>
      <c r="B25" s="3" t="s">
        <v>55</v>
      </c>
      <c r="C25" s="3" t="s">
        <v>56</v>
      </c>
      <c r="D25" s="31"/>
    </row>
    <row r="26" spans="1:4" ht="25.5">
      <c r="A26" s="21" t="s">
        <v>57</v>
      </c>
      <c r="B26" s="22" t="s">
        <v>58</v>
      </c>
      <c r="C26" s="23">
        <f>(G14)</f>
        <v>37.5</v>
      </c>
      <c r="D26" s="32"/>
    </row>
    <row r="27" spans="1:4" ht="38.25">
      <c r="A27" s="21" t="s">
        <v>59</v>
      </c>
      <c r="B27" s="22" t="s">
        <v>60</v>
      </c>
      <c r="C27" s="23">
        <f>($I$16-$C$26)*0.9</f>
        <v>33.75</v>
      </c>
      <c r="D27" s="32"/>
    </row>
    <row r="28" spans="1:4" ht="38.25">
      <c r="A28" s="21" t="s">
        <v>61</v>
      </c>
      <c r="B28" s="22" t="s">
        <v>62</v>
      </c>
      <c r="C28" s="23">
        <f>($I$16-$C$26)*0.1</f>
        <v>3.75</v>
      </c>
      <c r="D28" s="32"/>
    </row>
    <row r="29" spans="1:4">
      <c r="A29" s="24" t="s">
        <v>36</v>
      </c>
      <c r="B29" s="25"/>
      <c r="C29" s="26">
        <v>75</v>
      </c>
      <c r="D29" s="33"/>
    </row>
  </sheetData>
  <sheetProtection algorithmName="SHA-512" hashValue="Qw4bL7/kZvPhkfAwmkLAIvdEzg/3Rn06s0KR9s0FQ7Lz7s/9u8xzYPMKIBxta9O1vsMxnShdq99Xrk5SdYvRHA==" saltValue="NX1CNv6+UD/vp1kmDqse1Q==" spinCount="100000" sheet="1" objects="1" scenarios="1"/>
  <mergeCells count="6">
    <mergeCell ref="P3:R3"/>
    <mergeCell ref="A1:C1"/>
    <mergeCell ref="E1:F1"/>
    <mergeCell ref="H1:I1"/>
    <mergeCell ref="J1:L1"/>
    <mergeCell ref="N1:O1"/>
  </mergeCells>
  <pageMargins left="0.7" right="0.7" top="0.75" bottom="0.75" header="0.3" footer="0.3"/>
  <pageSetup paperSize="8" orientation="landscape" r:id="rId1"/>
  <headerFooter>
    <oddHeader>&amp;C
&amp;G</oddHead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E98262D5FCCF43BEA9CF27AF490A7F" ma:contentTypeVersion="13" ma:contentTypeDescription="Create a new document." ma:contentTypeScope="" ma:versionID="7678225594ed6b9293230c091ce55ea8">
  <xsd:schema xmlns:xsd="http://www.w3.org/2001/XMLSchema" xmlns:xs="http://www.w3.org/2001/XMLSchema" xmlns:p="http://schemas.microsoft.com/office/2006/metadata/properties" xmlns:ns3="3db8cdf3-5821-4288-9666-0f0c8de9f3dc" xmlns:ns4="24823e4f-13fa-402c-8ee6-2a451008f619" targetNamespace="http://schemas.microsoft.com/office/2006/metadata/properties" ma:root="true" ma:fieldsID="51dd9510e919bc9378ec3b043f7ca66f" ns3:_="" ns4:_="">
    <xsd:import namespace="3db8cdf3-5821-4288-9666-0f0c8de9f3dc"/>
    <xsd:import namespace="24823e4f-13fa-402c-8ee6-2a451008f61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b8cdf3-5821-4288-9666-0f0c8de9f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23e4f-13fa-402c-8ee6-2a451008f61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758A7C-F31A-429B-BB08-5976044978C5}"/>
</file>

<file path=customXml/itemProps2.xml><?xml version="1.0" encoding="utf-8"?>
<ds:datastoreItem xmlns:ds="http://schemas.openxmlformats.org/officeDocument/2006/customXml" ds:itemID="{957B482D-A5E0-4C50-B693-EBE509996C08}"/>
</file>

<file path=customXml/itemProps3.xml><?xml version="1.0" encoding="utf-8"?>
<ds:datastoreItem xmlns:ds="http://schemas.openxmlformats.org/officeDocument/2006/customXml" ds:itemID="{627A7BA9-8FC4-4523-BB47-CA751DBAA1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2015-06-05T18:17:20Z</dcterms:created>
  <dcterms:modified xsi:type="dcterms:W3CDTF">2020-05-19T11:08:43Z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0x010100DFE98262D5FCCF43BEA9CF27AF490A7F</vt:lpwstr>
  </property>
</Properties>
</file>